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Мережа\Плановий\ТАРИФИ 2024\Оприлюднення 14.08.24\"/>
    </mc:Choice>
  </mc:AlternateContent>
  <bookViews>
    <workbookView xWindow="0" yWindow="0" windowWidth="28800" windowHeight="12330"/>
  </bookViews>
  <sheets>
    <sheet name="ГВП заг 1 куб.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xlnm.Print_Area" localSheetId="0">#REF!</definedName>
    <definedName name="__xlnm.Print_Area">#REF!</definedName>
    <definedName name="__xlnm.Print_Titles" localSheetId="0">(#REF!,#REF!)</definedName>
    <definedName name="__xlnm.Print_Titles">(#REF!,#REF!)</definedName>
    <definedName name="A1048999" localSheetId="0">#REF!</definedName>
    <definedName name="A1048999">#REF!</definedName>
    <definedName name="A1049000" localSheetId="0">#REF!</definedName>
    <definedName name="A1049000">#REF!</definedName>
    <definedName name="A1049999" localSheetId="0">#REF!</definedName>
    <definedName name="A1049999">#REF!</definedName>
    <definedName name="A1050000" localSheetId="0">#REF!</definedName>
    <definedName name="A1050000">#REF!</definedName>
    <definedName name="A1060000" localSheetId="0">#REF!</definedName>
    <definedName name="A1060000">#REF!</definedName>
    <definedName name="A1999999" localSheetId="0">#REF!</definedName>
    <definedName name="A1999999">#REF!</definedName>
    <definedName name="A2000021" localSheetId="0">#REF!</definedName>
    <definedName name="A2000021">#REF!</definedName>
    <definedName name="A6000000" localSheetId="0">#REF!</definedName>
    <definedName name="A6000000">#REF!</definedName>
    <definedName name="AccessDatabase" hidden="1">"C:\WINDOWS\Рабочий стол\Робота Лутчина\Ltke2new\Ltke22.mdb"</definedName>
    <definedName name="LastItem">[1]Лист1!$A$1</definedName>
    <definedName name="ShowFil" localSheetId="0">[1]!ShowFil</definedName>
    <definedName name="ShowFil">[1]!ShowFil</definedName>
    <definedName name="st" localSheetId="0">#REF!</definedName>
    <definedName name="st">#REF!</definedName>
    <definedName name="xff1" localSheetId="0">'[2]1.3.3. інші витрати прямі'!#REF!</definedName>
    <definedName name="xff1">'[2]1.3.3. інші витрати прямі'!#REF!</definedName>
    <definedName name="xgg" localSheetId="0">'[2]1.3.3. інші витрати прямі'!#REF!</definedName>
    <definedName name="xgg">'[2]1.3.3. інші витрати прямі'!#REF!</definedName>
    <definedName name="xgg1" localSheetId="0">'[2]1.3.3. інші витрати прямі'!#REF!</definedName>
    <definedName name="xgg1">'[2]1.3.3. інші витрати прямі'!#REF!</definedName>
    <definedName name="xxx1" localSheetId="0">'[2]1.3.3. інші витрати прямі'!#REF!</definedName>
    <definedName name="xxx1">'[2]1.3.3. інші витрати прямі'!#REF!</definedName>
    <definedName name="zzz1" localSheetId="0">'[2]1.3.3. інші витрати прямі'!#REF!</definedName>
    <definedName name="zzz1">'[2]1.3.3. інші витрати прямі'!#REF!</definedName>
    <definedName name="а" localSheetId="0">'[3]Вхідні дані'!#REF!</definedName>
    <definedName name="а">'[3]Вхідні дані'!#REF!</definedName>
    <definedName name="а11111111" localSheetId="0">'[2]1.3.3. інші витрати прямі'!#REF!</definedName>
    <definedName name="а11111111">'[2]1.3.3. інші витрати прямі'!#REF!</definedName>
    <definedName name="а122222222222" localSheetId="0">#REF!</definedName>
    <definedName name="а122222222222">#REF!</definedName>
    <definedName name="АвтоподборВС" localSheetId="0">#REF!</definedName>
    <definedName name="АвтоподборВС">#REF!</definedName>
    <definedName name="автрп" localSheetId="0">#REF!</definedName>
    <definedName name="автрп">#REF!</definedName>
    <definedName name="апол" localSheetId="0">#REF!</definedName>
    <definedName name="апол">#REF!</definedName>
    <definedName name="Безраб" localSheetId="0">#REF!</definedName>
    <definedName name="Безраб">#REF!</definedName>
    <definedName name="вар" localSheetId="0">#REF!</definedName>
    <definedName name="вар">#REF!</definedName>
    <definedName name="вп" localSheetId="0">'[3]Вхідні дані'!#REF!</definedName>
    <definedName name="вп">'[3]Вхідні дані'!#REF!</definedName>
    <definedName name="Встав">[4]Коригування!$W$9:$W$2131,[4]Коригування!$AF$9:$AH$2131,[4]Коригування!$AM$9:$AM$2131,[4]Коригування!$AO$9:$AO$2131,[4]Коригування!$AQ$9:$AQ$2131,[4]Коригування!$AU$9:$AU$2131,[4]Коригування!$AW$9:$AW$2131+[4]Коригування!$AY$9:$BD$2131,[4]Коригування!$BG$9:$BP$2131,[4]Коригування!$BY$9:$BY$2131,[4]Коригування!$CF$9:$CG$2131,[4]Коригування!$CJ$9:$CO$2131,[4]Коригування!$CX$9:$CY$2131,[4]Коригування!$DB$9:$DC$2131,[4]Коригування!$DJ$9:$DJ$2131,[4]Коригування!$DL$9:$DM$2131,[4]Коригування!$DO$9:$DO$2131,[4]Коригування!$DT$9:$DT$2131</definedName>
    <definedName name="гокн" localSheetId="0">#REF!</definedName>
    <definedName name="гокн">#REF!</definedName>
    <definedName name="грн" localSheetId="0">#REF!</definedName>
    <definedName name="грн">#REF!</definedName>
    <definedName name="д" localSheetId="0">#REF!</definedName>
    <definedName name="д">#REF!</definedName>
    <definedName name="Данньшина__10а">'[5]Вихідні дані'!$G$7:$G$33</definedName>
    <definedName name="Доро" localSheetId="0">#REF!</definedName>
    <definedName name="Доро">#REF!</definedName>
    <definedName name="є12456" localSheetId="0">#REF!</definedName>
    <definedName name="є12456">#REF!</definedName>
    <definedName name="_xlnm.Print_Titles" localSheetId="0">'ГВП заг 1 куб.м'!$9:$9</definedName>
    <definedName name="звязок" localSheetId="0">#REF!</definedName>
    <definedName name="звязок">#REF!</definedName>
    <definedName name="и" localSheetId="0">#REF!</definedName>
    <definedName name="и">#REF!</definedName>
    <definedName name="ии" localSheetId="0">#REF!</definedName>
    <definedName name="ии">#REF!</definedName>
    <definedName name="Инно" localSheetId="0">#REF!</definedName>
    <definedName name="Инно">#REF!</definedName>
    <definedName name="ї" localSheetId="0">#REF!</definedName>
    <definedName name="ї">#REF!</definedName>
    <definedName name="ккене125489789696" localSheetId="0">#REF!</definedName>
    <definedName name="ккене125489789696">#REF!</definedName>
    <definedName name="ккк" localSheetId="0">#REF!</definedName>
    <definedName name="ккк">#REF!</definedName>
    <definedName name="л148956234" localSheetId="0">#REF!</definedName>
    <definedName name="л148956234">#REF!</definedName>
    <definedName name="лл" localSheetId="0">'[3]Вхідні дані'!#REF!</definedName>
    <definedName name="лл">'[3]Вхідні дані'!#REF!</definedName>
    <definedName name="м12456" localSheetId="0">'[2]1.3.3. інші витрати прямі'!#REF!</definedName>
    <definedName name="м12456">'[2]1.3.3. інші витрати прямі'!#REF!</definedName>
    <definedName name="мерк" localSheetId="0">#REF!</definedName>
    <definedName name="мерк">#REF!</definedName>
    <definedName name="Мой_лист">MID(CELL("имяфайла",[6]База!$E$1),SEARCH("[",CELL("имяфайла",[6]База!$E$1)),256)&amp;"!"</definedName>
    <definedName name="Накоп" localSheetId="0">#REF!</definedName>
    <definedName name="Накоп">#REF!</definedName>
    <definedName name="нгмпркеи12145697" localSheetId="0">'[3]Вхідні дані'!#REF!</definedName>
    <definedName name="нгмпркеи12145697">'[3]Вхідні дані'!#REF!</definedName>
    <definedName name="НДС" localSheetId="0">#REF!</definedName>
    <definedName name="НДС">#REF!</definedName>
    <definedName name="ніка12569" localSheetId="0">#REF!</definedName>
    <definedName name="ніка12569">#REF!</definedName>
    <definedName name="нпаеннр" localSheetId="0">#REF!</definedName>
    <definedName name="нпаеннр">#REF!</definedName>
    <definedName name="облік">[7]скрыть!$D$4:$D$6</definedName>
    <definedName name="облікГВП">[7]скрыть!$G$4:$G$6</definedName>
    <definedName name="Од" localSheetId="0">#REF!</definedName>
    <definedName name="Од">#REF!</definedName>
    <definedName name="Од_Б" localSheetId="0">#REF!</definedName>
    <definedName name="Од_Б">#REF!</definedName>
    <definedName name="Од_БI" localSheetId="0">#REF!</definedName>
    <definedName name="Од_БI">#REF!</definedName>
    <definedName name="Од_І" localSheetId="0">#REF!</definedName>
    <definedName name="Од_І">#REF!</definedName>
    <definedName name="Од_Н" localSheetId="0">#REF!</definedName>
    <definedName name="Од_Н">#REF!</definedName>
    <definedName name="отклонение" localSheetId="0">'[3]Вхідні дані'!#REF!</definedName>
    <definedName name="отклонение">'[3]Вхідні дані'!#REF!</definedName>
    <definedName name="Отсорт_Д_СВ" localSheetId="0">#REF!</definedName>
    <definedName name="Отсорт_Д_СВ">#REF!</definedName>
    <definedName name="п45617882" localSheetId="0">#REF!</definedName>
    <definedName name="п45617882">#REF!</definedName>
    <definedName name="павт" localSheetId="0">#REF!</definedName>
    <definedName name="павт">#REF!</definedName>
    <definedName name="пвт" localSheetId="0">'[3]Вхідні дані'!#REF!</definedName>
    <definedName name="пвт">'[3]Вхідні дані'!#REF!</definedName>
    <definedName name="пдв" localSheetId="0">'[3]Вхідні дані'!#REF!</definedName>
    <definedName name="пдв">'[3]Вхідні дані'!#REF!</definedName>
    <definedName name="Пенс" localSheetId="0">#REF!</definedName>
    <definedName name="Пенс">#REF!</definedName>
    <definedName name="перемога" localSheetId="0">'[3]Вхідні дані'!#REF!</definedName>
    <definedName name="перемога">'[3]Вхідні дані'!#REF!</definedName>
    <definedName name="поверхи">[7]скрыть!$B$4:$B$9</definedName>
    <definedName name="ппп" localSheetId="0">#REF!</definedName>
    <definedName name="ппп">#REF!</definedName>
    <definedName name="пт" localSheetId="0">#REF!</definedName>
    <definedName name="пт">#REF!</definedName>
    <definedName name="РЕГ" localSheetId="0">#REF!</definedName>
    <definedName name="РЕГ">#REF!</definedName>
    <definedName name="Регіон" localSheetId="0">#REF!</definedName>
    <definedName name="Регіон">#REF!</definedName>
    <definedName name="рр" localSheetId="0">#REF!</definedName>
    <definedName name="рр">#REF!</definedName>
    <definedName name="с125697142" localSheetId="0">#REF!</definedName>
    <definedName name="с125697142">#REF!</definedName>
    <definedName name="Соц" localSheetId="0">#REF!</definedName>
    <definedName name="Соц">#REF!</definedName>
    <definedName name="Список_компах" localSheetId="0">OFFSET(#REF!,,,COUNTA(#REF!),1)</definedName>
    <definedName name="Список_компах">OFFSET(#REF!,,,COUNTA(#REF!),1)</definedName>
    <definedName name="Тело_СТ" localSheetId="0">#REF!</definedName>
    <definedName name="Тело_СТ">#REF!</definedName>
    <definedName name="Уз" localSheetId="0">#REF!</definedName>
    <definedName name="Уз">#REF!</definedName>
    <definedName name="Уз_б" localSheetId="0">#REF!</definedName>
    <definedName name="Уз_б">#REF!</definedName>
    <definedName name="Уз_і" localSheetId="0">#REF!</definedName>
    <definedName name="Уз_і">#REF!</definedName>
    <definedName name="Уз_н" localSheetId="0">#REF!</definedName>
    <definedName name="Уз_н">#REF!</definedName>
    <definedName name="Уп" localSheetId="0">#REF!</definedName>
    <definedName name="Уп">#REF!</definedName>
    <definedName name="Уп_б" localSheetId="0">#REF!</definedName>
    <definedName name="Уп_б">#REF!</definedName>
    <definedName name="Уп_і" localSheetId="0">#REF!</definedName>
    <definedName name="Уп_і">#REF!</definedName>
    <definedName name="Уп_н" localSheetId="0">#REF!</definedName>
    <definedName name="Уп_н">#REF!</definedName>
    <definedName name="УХ" localSheetId="0">#REF!</definedName>
    <definedName name="УХ">#REF!</definedName>
    <definedName name="ухват" localSheetId="0">#REF!</definedName>
    <definedName name="ухват">#REF!</definedName>
    <definedName name="філії">[8]Лист1!$C$4:$C$11</definedName>
    <definedName name="чапельник" localSheetId="0">#REF!</definedName>
    <definedName name="чапельник">#REF!</definedName>
    <definedName name="чатр" localSheetId="0">#REF!</definedName>
    <definedName name="чатр">#REF!</definedName>
    <definedName name="Черта" localSheetId="0">#REF!</definedName>
    <definedName name="Черта">#REF!</definedName>
    <definedName name="яя" localSheetId="0">'[3]Вхідні дані'!#REF!</definedName>
    <definedName name="яя">'[3]Вхідні дані'!#REF!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E19" i="1" s="1"/>
  <c r="D21" i="1"/>
  <c r="I20" i="1"/>
  <c r="I19" i="1" s="1"/>
  <c r="H20" i="1"/>
  <c r="G20" i="1"/>
  <c r="F20" i="1"/>
  <c r="E20" i="1"/>
  <c r="D20" i="1"/>
  <c r="H19" i="1"/>
  <c r="G19" i="1"/>
  <c r="F19" i="1"/>
  <c r="D19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I18" i="1" s="1"/>
  <c r="I23" i="1" s="1"/>
  <c r="I24" i="1" s="1"/>
  <c r="H14" i="1"/>
  <c r="G14" i="1"/>
  <c r="F14" i="1"/>
  <c r="E14" i="1"/>
  <c r="D14" i="1"/>
  <c r="I11" i="1"/>
  <c r="H11" i="1"/>
  <c r="G11" i="1"/>
  <c r="F11" i="1"/>
  <c r="E11" i="1"/>
  <c r="D11" i="1"/>
  <c r="I10" i="1"/>
  <c r="I12" i="1" s="1"/>
  <c r="H10" i="1"/>
  <c r="H18" i="1" s="1"/>
  <c r="H23" i="1" s="1"/>
  <c r="H24" i="1" s="1"/>
  <c r="G10" i="1"/>
  <c r="G18" i="1" s="1"/>
  <c r="G23" i="1" s="1"/>
  <c r="G24" i="1" s="1"/>
  <c r="F10" i="1"/>
  <c r="F12" i="1" s="1"/>
  <c r="E10" i="1"/>
  <c r="E12" i="1" s="1"/>
  <c r="D10" i="1"/>
  <c r="D12" i="1" s="1"/>
  <c r="G12" i="1" l="1"/>
  <c r="H12" i="1"/>
  <c r="D18" i="1"/>
  <c r="D23" i="1" s="1"/>
  <c r="D24" i="1" s="1"/>
  <c r="E18" i="1"/>
  <c r="E23" i="1" s="1"/>
  <c r="E24" i="1" s="1"/>
  <c r="F18" i="1"/>
  <c r="F23" i="1" s="1"/>
  <c r="F24" i="1" s="1"/>
</calcChain>
</file>

<file path=xl/sharedStrings.xml><?xml version="1.0" encoding="utf-8"?>
<sst xmlns="http://schemas.openxmlformats.org/spreadsheetml/2006/main" count="53" uniqueCount="44">
  <si>
    <t>Порівняння середньозважених одноставкових тарифів ДКП "Луцьктепло" на послуги з постачання гарячої води</t>
  </si>
  <si>
    <t>№ з/п</t>
  </si>
  <si>
    <t>Назва показника</t>
  </si>
  <si>
    <t>Послуга з постачання гарячої води, грн/куб.м</t>
  </si>
  <si>
    <t>населення</t>
  </si>
  <si>
    <t>бюджетні установи</t>
  </si>
  <si>
    <t>інші споживачі</t>
  </si>
  <si>
    <t>у встановленому тарифі</t>
  </si>
  <si>
    <t>у проєкті тарифу</t>
  </si>
  <si>
    <t>грн/куб.м</t>
  </si>
  <si>
    <t>1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</si>
  <si>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</si>
  <si>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1.1</t>
  </si>
  <si>
    <t>зокрема, паливна складова</t>
  </si>
  <si>
    <t>1.2</t>
  </si>
  <si>
    <t>решта витрат</t>
  </si>
  <si>
    <t>2</t>
  </si>
  <si>
    <t>Витрати на придбання холодної води для надання послуги з постачання гарячої води</t>
  </si>
  <si>
    <t>3</t>
  </si>
  <si>
    <t>Витрати на оплату праці персоналу, безпосередньо залученого до технологічного процесу надання послуг з постачання гарячої води</t>
  </si>
  <si>
    <t>4</t>
  </si>
  <si>
    <t>Єдиний внесок на загальнообовязкове державне соціальне страхування</t>
  </si>
  <si>
    <t>5</t>
  </si>
  <si>
    <t>Витрати на придбання електричної енергії для надання послуг з постачання гарячої води</t>
  </si>
  <si>
    <t>6</t>
  </si>
  <si>
    <t>Решта витрат (загальновиробничі, адміністративні витрати)</t>
  </si>
  <si>
    <t>7</t>
  </si>
  <si>
    <t xml:space="preserve">Повна собівартість послуг </t>
  </si>
  <si>
    <t>8</t>
  </si>
  <si>
    <t>Розрахунковий прибуток у тарифі на теплову енергію для потреб відповідної категорії споживачів, усього, зокрема:</t>
  </si>
  <si>
    <t>8.1</t>
  </si>
  <si>
    <t>податок на прибуток</t>
  </si>
  <si>
    <t>8.2</t>
  </si>
  <si>
    <t>прибуток на забезпечення обігових коштів</t>
  </si>
  <si>
    <t>8.3</t>
  </si>
  <si>
    <t>інше використання прибутку</t>
  </si>
  <si>
    <t>11</t>
  </si>
  <si>
    <t>Плановані середньозважені тарифи  на послуги з постачання гарячої води</t>
  </si>
  <si>
    <t>12</t>
  </si>
  <si>
    <t>Плановані тарифи на послуги з ПДВ</t>
  </si>
  <si>
    <t>12.1</t>
  </si>
  <si>
    <t>паливна складова з ПДВ</t>
  </si>
  <si>
    <t>12.2</t>
  </si>
  <si>
    <t>решта витрат, крім паливної складової,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</si>
</sst>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8" tint="-0.499984740745262"/>
      <name val="Times New Roman"/>
      <family val="1"/>
      <charset val="204"/>
    </font>
    <font>
      <b/>
      <sz val="12"/>
      <color theme="8" tint="-0.499984740745262"/>
      <name val="Times New Roman"/>
      <family val="1"/>
      <charset val="204"/>
    </font>
    <font>
      <sz val="11"/>
      <color theme="8" tint="-0.49998474074526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8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/>
    <xf numFmtId="0" fontId="2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4" fillId="0" borderId="0" xfId="1" applyFont="1" applyBorder="1" applyAlignment="1"/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 wrapText="1"/>
    </xf>
    <xf numFmtId="0" fontId="7" fillId="5" borderId="20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7" fillId="6" borderId="19" xfId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" fontId="8" fillId="4" borderId="18" xfId="1" applyNumberFormat="1" applyFont="1" applyFill="1" applyBorder="1" applyAlignment="1">
      <alignment horizontal="center" vertical="center"/>
    </xf>
    <xf numFmtId="4" fontId="8" fillId="4" borderId="19" xfId="1" applyNumberFormat="1" applyFont="1" applyFill="1" applyBorder="1" applyAlignment="1">
      <alignment horizontal="center" vertical="center"/>
    </xf>
    <xf numFmtId="4" fontId="8" fillId="5" borderId="21" xfId="1" applyNumberFormat="1" applyFont="1" applyFill="1" applyBorder="1" applyAlignment="1">
      <alignment horizontal="center" vertical="center" wrapText="1"/>
    </xf>
    <xf numFmtId="4" fontId="8" fillId="6" borderId="18" xfId="1" applyNumberFormat="1" applyFont="1" applyFill="1" applyBorder="1" applyAlignment="1">
      <alignment horizontal="center" vertical="center" wrapText="1"/>
    </xf>
    <xf numFmtId="4" fontId="8" fillId="6" borderId="19" xfId="1" applyNumberFormat="1" applyFont="1" applyFill="1" applyBorder="1" applyAlignment="1">
      <alignment horizontal="center" vertical="center" wrapText="1"/>
    </xf>
    <xf numFmtId="2" fontId="1" fillId="0" borderId="0" xfId="1" applyNumberFormat="1" applyAlignment="1">
      <alignment horizontal="center" vertical="center"/>
    </xf>
    <xf numFmtId="4" fontId="8" fillId="5" borderId="20" xfId="1" applyNumberFormat="1" applyFont="1" applyFill="1" applyBorder="1" applyAlignment="1">
      <alignment horizontal="center" vertical="center"/>
    </xf>
    <xf numFmtId="4" fontId="8" fillId="5" borderId="21" xfId="1" applyNumberFormat="1" applyFont="1" applyFill="1" applyBorder="1" applyAlignment="1">
      <alignment horizontal="center" vertical="center"/>
    </xf>
    <xf numFmtId="4" fontId="8" fillId="6" borderId="18" xfId="1" applyNumberFormat="1" applyFont="1" applyFill="1" applyBorder="1" applyAlignment="1">
      <alignment horizontal="center" vertical="center"/>
    </xf>
    <xf numFmtId="4" fontId="8" fillId="6" borderId="19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4" fontId="8" fillId="5" borderId="20" xfId="1" applyNumberFormat="1" applyFont="1" applyFill="1" applyBorder="1" applyAlignment="1">
      <alignment horizontal="center" vertical="center" wrapText="1"/>
    </xf>
    <xf numFmtId="4" fontId="9" fillId="4" borderId="25" xfId="1" applyNumberFormat="1" applyFont="1" applyFill="1" applyBorder="1" applyAlignment="1">
      <alignment horizontal="center" vertical="center"/>
    </xf>
    <xf numFmtId="4" fontId="9" fillId="4" borderId="26" xfId="1" applyNumberFormat="1" applyFont="1" applyFill="1" applyBorder="1" applyAlignment="1">
      <alignment horizontal="center" vertical="center"/>
    </xf>
    <xf numFmtId="4" fontId="9" fillId="5" borderId="27" xfId="1" applyNumberFormat="1" applyFont="1" applyFill="1" applyBorder="1" applyAlignment="1">
      <alignment horizontal="center" vertical="center"/>
    </xf>
    <xf numFmtId="4" fontId="9" fillId="5" borderId="28" xfId="1" applyNumberFormat="1" applyFont="1" applyFill="1" applyBorder="1" applyAlignment="1">
      <alignment horizontal="center" vertical="center"/>
    </xf>
    <xf numFmtId="4" fontId="9" fillId="6" borderId="25" xfId="1" applyNumberFormat="1" applyFont="1" applyFill="1" applyBorder="1" applyAlignment="1">
      <alignment horizontal="center" vertical="center"/>
    </xf>
    <xf numFmtId="4" fontId="9" fillId="6" borderId="26" xfId="1" applyNumberFormat="1" applyFont="1" applyFill="1" applyBorder="1" applyAlignment="1">
      <alignment horizontal="center" vertical="center"/>
    </xf>
    <xf numFmtId="4" fontId="10" fillId="4" borderId="16" xfId="1" applyNumberFormat="1" applyFont="1" applyFill="1" applyBorder="1" applyAlignment="1">
      <alignment horizontal="center" vertical="center"/>
    </xf>
    <xf numFmtId="4" fontId="10" fillId="4" borderId="15" xfId="1" applyNumberFormat="1" applyFont="1" applyFill="1" applyBorder="1" applyAlignment="1">
      <alignment horizontal="center" vertical="center" wrapText="1"/>
    </xf>
    <xf numFmtId="4" fontId="10" fillId="5" borderId="16" xfId="1" applyNumberFormat="1" applyFont="1" applyFill="1" applyBorder="1" applyAlignment="1">
      <alignment horizontal="center" vertical="center" wrapText="1"/>
    </xf>
    <xf numFmtId="4" fontId="10" fillId="5" borderId="29" xfId="1" applyNumberFormat="1" applyFont="1" applyFill="1" applyBorder="1" applyAlignment="1">
      <alignment horizontal="center" vertical="center" wrapText="1"/>
    </xf>
    <xf numFmtId="4" fontId="10" fillId="6" borderId="14" xfId="1" applyNumberFormat="1" applyFont="1" applyFill="1" applyBorder="1" applyAlignment="1">
      <alignment horizontal="center" vertical="center" wrapText="1"/>
    </xf>
    <xf numFmtId="4" fontId="10" fillId="6" borderId="29" xfId="1" applyNumberFormat="1" applyFont="1" applyFill="1" applyBorder="1" applyAlignment="1">
      <alignment horizontal="center" vertical="center" wrapText="1"/>
    </xf>
    <xf numFmtId="4" fontId="10" fillId="4" borderId="18" xfId="1" applyNumberFormat="1" applyFont="1" applyFill="1" applyBorder="1" applyAlignment="1">
      <alignment horizontal="center" vertical="center"/>
    </xf>
    <xf numFmtId="4" fontId="10" fillId="4" borderId="21" xfId="1" applyNumberFormat="1" applyFont="1" applyFill="1" applyBorder="1" applyAlignment="1">
      <alignment horizontal="center" vertical="center" wrapText="1"/>
    </xf>
    <xf numFmtId="4" fontId="10" fillId="5" borderId="18" xfId="1" applyNumberFormat="1" applyFont="1" applyFill="1" applyBorder="1" applyAlignment="1">
      <alignment horizontal="center" vertical="center" wrapText="1"/>
    </xf>
    <xf numFmtId="4" fontId="10" fillId="5" borderId="19" xfId="1" applyNumberFormat="1" applyFont="1" applyFill="1" applyBorder="1" applyAlignment="1">
      <alignment horizontal="center" vertical="center" wrapText="1"/>
    </xf>
    <xf numFmtId="4" fontId="10" fillId="6" borderId="20" xfId="1" applyNumberFormat="1" applyFont="1" applyFill="1" applyBorder="1" applyAlignment="1">
      <alignment horizontal="center" vertical="center" wrapText="1"/>
    </xf>
    <xf numFmtId="4" fontId="10" fillId="6" borderId="19" xfId="1" applyNumberFormat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vertical="center" wrapText="1"/>
    </xf>
    <xf numFmtId="0" fontId="5" fillId="2" borderId="21" xfId="1" applyFont="1" applyFill="1" applyBorder="1" applyAlignment="1">
      <alignment vertical="center" wrapText="1"/>
    </xf>
    <xf numFmtId="0" fontId="5" fillId="2" borderId="21" xfId="1" applyFont="1" applyFill="1" applyBorder="1" applyAlignment="1">
      <alignment horizontal="left" vertical="center" wrapText="1"/>
    </xf>
    <xf numFmtId="0" fontId="5" fillId="2" borderId="23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vertical="center" wrapText="1"/>
    </xf>
    <xf numFmtId="0" fontId="6" fillId="2" borderId="21" xfId="1" applyFont="1" applyFill="1" applyBorder="1" applyAlignment="1">
      <alignment vertical="center" wrapText="1"/>
    </xf>
    <xf numFmtId="0" fontId="5" fillId="2" borderId="23" xfId="1" applyFont="1" applyFill="1" applyBorder="1" applyAlignment="1">
      <alignment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9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42;&#1072;&#1088;&#1090;&#1110;&#1089;&#1090;&#1100;%20&#1087;&#1086;&#1089;&#1083;&#1091;&#1075;\&#1082;&#1086;&#1088;&#1080;&#1075;&#1091;&#1074;&#1072;&#1085;&#1085;&#1103;%202\&#1057;&#1090;&#1088;&#1091;&#1082;-&#1088;&#1080;,%20&#1090;&#1072;&#1088;&#1080;&#1092;&#1080;,%20&#1072;&#1076;&#1084;&#1110;&#1085;,%20&#1047;&#1042;&#1042;,%20&#1084;&#1072;&#1090;&#1077;&#1088;%20&#1073;&#1077;&#1088;&#1077;&#1079;&#1077;&#1085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user\Desktop\&#1055;&#1083;&#1072;&#1085;%202012%20-%20&#1076;&#1083;&#1103;%20&#1045;&#1042;\&#1056;&#1086;&#1079;&#1088;&#1072;&#1093;&#1091;&#1085;&#1086;&#1082;%20&#1074;&#1080;&#1082;&#1080;&#1076;&#1110;&#1074;%20&#1082;&#1086;&#1090;&#1077;&#1083;&#1100;&#1085;&#1103;&#1084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6д послуга населення"/>
      <sheetName val="на сайт діагр"/>
      <sheetName val="Д8_послсуга"/>
      <sheetName val="Річний план"/>
      <sheetName val="тариф на теплову енергію"/>
      <sheetName val="заг. тариф правильний"/>
      <sheetName val="Виробництво (2)"/>
      <sheetName val="транспортування (2)"/>
      <sheetName val="постачання (2)"/>
      <sheetName val="Д3_послуга"/>
      <sheetName val="тариф на послугу опалення"/>
      <sheetName val="тариф на послугу з гвп відомче"/>
      <sheetName val="тариф на послугу ГВП (насел (2"/>
      <sheetName val="тариф на послугу ГВП (бюдж.)"/>
      <sheetName val="тариф на послугу ГВП (інші)"/>
      <sheetName val="1.3.3. інші витрати прямі"/>
      <sheetName val="1.1.6. Матеріали запчастини"/>
      <sheetName val="1.1.6. Матеріали запчастини (2"/>
      <sheetName val="ЗВВ всього"/>
      <sheetName val="Адмін. всього"/>
      <sheetName val="ЗВВ збут"/>
      <sheetName val="Адмін Збут."/>
      <sheetName val="Витрати на збут послу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ультати розрахунку"/>
      <sheetName val="дахові котельні"/>
      <sheetName val="Вихідні дані"/>
      <sheetName val="Лист3"/>
      <sheetName val="Лист5"/>
      <sheetName val="Лист4"/>
      <sheetName val="відходи"/>
    </sheetNames>
    <sheetDataSet>
      <sheetData sheetId="0">
        <row r="8">
          <cell r="D8">
            <v>0.747</v>
          </cell>
        </row>
      </sheetData>
      <sheetData sheetId="1" refreshError="1"/>
      <sheetData sheetId="2">
        <row r="5">
          <cell r="D5">
            <v>68190900</v>
          </cell>
        </row>
        <row r="7">
          <cell r="G7" t="str">
            <v>Г. Артемовського, 20</v>
          </cell>
        </row>
        <row r="8">
          <cell r="G8" t="str">
            <v xml:space="preserve"> Винниченка,30</v>
          </cell>
        </row>
        <row r="9">
          <cell r="G9" t="str">
            <v>Стрілецька, 27</v>
          </cell>
        </row>
        <row r="10">
          <cell r="G10" t="str">
            <v>8-го березня</v>
          </cell>
        </row>
        <row r="11">
          <cell r="G11" t="str">
            <v>Волі, 1</v>
          </cell>
        </row>
        <row r="12">
          <cell r="G12" t="str">
            <v>Потапова,10</v>
          </cell>
        </row>
        <row r="13">
          <cell r="G13" t="str">
            <v>Л.Українки, 67</v>
          </cell>
        </row>
        <row r="14">
          <cell r="G14" t="str">
            <v>Даргомижського, 3</v>
          </cell>
        </row>
        <row r="15">
          <cell r="G15" t="str">
            <v>Данньшина, 10а</v>
          </cell>
        </row>
        <row r="16">
          <cell r="G16" t="str">
            <v>Боголюби</v>
          </cell>
        </row>
        <row r="17">
          <cell r="G17" t="str">
            <v>Стефаніка, 3</v>
          </cell>
        </row>
        <row r="18">
          <cell r="G18" t="str">
            <v>Володимирська,100</v>
          </cell>
        </row>
        <row r="19">
          <cell r="G19" t="str">
            <v>Вавілова,6</v>
          </cell>
        </row>
        <row r="20">
          <cell r="G20" t="str">
            <v>З.Космодемянської</v>
          </cell>
        </row>
        <row r="21">
          <cell r="G21" t="str">
            <v>Дубнівська, 34</v>
          </cell>
        </row>
        <row r="22">
          <cell r="G22" t="str">
            <v>Вороніхіна, 15б</v>
          </cell>
        </row>
        <row r="23">
          <cell r="G23" t="str">
            <v>Декабристів,29</v>
          </cell>
        </row>
        <row r="24">
          <cell r="G24" t="str">
            <v>Відродження, 15б</v>
          </cell>
        </row>
        <row r="25">
          <cell r="G25" t="str">
            <v>Загородня,1</v>
          </cell>
        </row>
        <row r="26">
          <cell r="G26" t="str">
            <v>Теремнівська,100</v>
          </cell>
        </row>
        <row r="27">
          <cell r="G27" t="str">
            <v>Конякіна,24а</v>
          </cell>
        </row>
        <row r="28">
          <cell r="G28" t="str">
            <v>Стрілецька,2</v>
          </cell>
        </row>
        <row r="29">
          <cell r="G29" t="str">
            <v>Ковельська,68</v>
          </cell>
        </row>
        <row r="30">
          <cell r="G30" t="str">
            <v>Рівненьська,119</v>
          </cell>
        </row>
        <row r="31">
          <cell r="G31" t="str">
            <v>Боженка,34</v>
          </cell>
        </row>
        <row r="32">
          <cell r="G32" t="str">
            <v>Ранкова,20</v>
          </cell>
        </row>
        <row r="33">
          <cell r="G33" t="str">
            <v>інші</v>
          </cell>
        </row>
      </sheetData>
      <sheetData sheetId="3">
        <row r="5">
          <cell r="C5" t="str">
            <v>Сnо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6"/>
  <sheetViews>
    <sheetView tabSelected="1" workbookViewId="0">
      <selection activeCell="A3" sqref="A3:I3"/>
    </sheetView>
  </sheetViews>
  <sheetFormatPr defaultRowHeight="15" x14ac:dyDescent="0.25"/>
  <cols>
    <col min="1" max="1" width="6.28515625" style="2" customWidth="1"/>
    <col min="2" max="2" width="28.85546875" style="2" customWidth="1"/>
    <col min="3" max="3" width="50.42578125" style="2" customWidth="1"/>
    <col min="4" max="4" width="16.140625" style="2" customWidth="1"/>
    <col min="5" max="5" width="13.42578125" style="2" customWidth="1"/>
    <col min="6" max="6" width="16.140625" style="2" customWidth="1"/>
    <col min="7" max="7" width="13.42578125" style="2" customWidth="1"/>
    <col min="8" max="8" width="16.140625" style="2" customWidth="1"/>
    <col min="9" max="9" width="13.42578125" style="2" customWidth="1"/>
    <col min="10" max="16384" width="9.140625" style="2"/>
  </cols>
  <sheetData>
    <row r="1" spans="1:10" ht="16.5" customHeight="1" x14ac:dyDescent="0.25">
      <c r="A1" s="1"/>
      <c r="B1" s="1"/>
      <c r="C1" s="1"/>
      <c r="E1" s="3"/>
      <c r="F1" s="3"/>
      <c r="G1" s="4"/>
      <c r="H1" s="5"/>
    </row>
    <row r="2" spans="1:10" ht="16.5" customHeight="1" x14ac:dyDescent="0.25">
      <c r="A2" s="1"/>
      <c r="B2" s="1"/>
      <c r="C2" s="1"/>
      <c r="E2" s="3"/>
      <c r="F2" s="3"/>
      <c r="G2" s="66"/>
      <c r="H2" s="66"/>
      <c r="I2" s="66"/>
    </row>
    <row r="3" spans="1:10" ht="42" customHeigh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10" ht="15.75" thickBot="1" x14ac:dyDescent="0.3">
      <c r="A4" s="1"/>
      <c r="B4" s="1"/>
      <c r="C4" s="1"/>
      <c r="I4" s="6"/>
    </row>
    <row r="5" spans="1:10" ht="21" customHeight="1" thickBot="1" x14ac:dyDescent="0.3">
      <c r="A5" s="68" t="s">
        <v>1</v>
      </c>
      <c r="B5" s="71" t="s">
        <v>2</v>
      </c>
      <c r="C5" s="72"/>
      <c r="D5" s="77" t="s">
        <v>3</v>
      </c>
      <c r="E5" s="78"/>
      <c r="F5" s="78"/>
      <c r="G5" s="78"/>
      <c r="H5" s="78"/>
      <c r="I5" s="79"/>
    </row>
    <row r="6" spans="1:10" ht="21.75" customHeight="1" thickBot="1" x14ac:dyDescent="0.3">
      <c r="A6" s="69"/>
      <c r="B6" s="73"/>
      <c r="C6" s="74"/>
      <c r="D6" s="80" t="s">
        <v>4</v>
      </c>
      <c r="E6" s="81"/>
      <c r="F6" s="82" t="s">
        <v>5</v>
      </c>
      <c r="G6" s="83"/>
      <c r="H6" s="84" t="s">
        <v>6</v>
      </c>
      <c r="I6" s="85"/>
    </row>
    <row r="7" spans="1:10" ht="46.5" customHeight="1" x14ac:dyDescent="0.25">
      <c r="A7" s="69"/>
      <c r="B7" s="73"/>
      <c r="C7" s="74"/>
      <c r="D7" s="7" t="s">
        <v>7</v>
      </c>
      <c r="E7" s="8" t="s">
        <v>8</v>
      </c>
      <c r="F7" s="9" t="s">
        <v>7</v>
      </c>
      <c r="G7" s="10" t="s">
        <v>8</v>
      </c>
      <c r="H7" s="11" t="s">
        <v>7</v>
      </c>
      <c r="I7" s="12" t="s">
        <v>8</v>
      </c>
    </row>
    <row r="8" spans="1:10" ht="16.5" hidden="1" customHeight="1" x14ac:dyDescent="0.25">
      <c r="A8" s="70"/>
      <c r="B8" s="75"/>
      <c r="C8" s="76"/>
      <c r="D8" s="13" t="s">
        <v>9</v>
      </c>
      <c r="E8" s="14" t="s">
        <v>9</v>
      </c>
      <c r="F8" s="15" t="s">
        <v>9</v>
      </c>
      <c r="G8" s="16" t="s">
        <v>9</v>
      </c>
      <c r="H8" s="17" t="s">
        <v>9</v>
      </c>
      <c r="I8" s="18" t="s">
        <v>9</v>
      </c>
    </row>
    <row r="9" spans="1:10" x14ac:dyDescent="0.25">
      <c r="A9" s="19">
        <v>1</v>
      </c>
      <c r="B9" s="64">
        <v>2</v>
      </c>
      <c r="C9" s="65"/>
      <c r="D9" s="20">
        <v>3</v>
      </c>
      <c r="E9" s="21">
        <v>4</v>
      </c>
      <c r="F9" s="22">
        <v>5</v>
      </c>
      <c r="G9" s="23">
        <v>6</v>
      </c>
      <c r="H9" s="24">
        <v>7</v>
      </c>
      <c r="I9" s="25">
        <v>8</v>
      </c>
    </row>
    <row r="10" spans="1:10" ht="36.75" customHeight="1" x14ac:dyDescent="0.25">
      <c r="A10" s="26" t="s">
        <v>10</v>
      </c>
      <c r="B10" s="57" t="s">
        <v>11</v>
      </c>
      <c r="C10" s="58"/>
      <c r="D10" s="27">
        <f>137302.072/1290.832</f>
        <v>106.36711206415706</v>
      </c>
      <c r="E10" s="28">
        <f>141368.57/1249.989</f>
        <v>113.09585124349094</v>
      </c>
      <c r="F10" s="29">
        <f>4386.686/27.264</f>
        <v>160.89664025821597</v>
      </c>
      <c r="G10" s="29">
        <f>4410.207/26.49</f>
        <v>166.4857304643262</v>
      </c>
      <c r="H10" s="30">
        <f>879.595/5.515</f>
        <v>159.49138712601996</v>
      </c>
      <c r="I10" s="31">
        <f>702.936/4.2363</f>
        <v>165.93159124707884</v>
      </c>
      <c r="J10" s="32"/>
    </row>
    <row r="11" spans="1:10" ht="25.5" customHeight="1" x14ac:dyDescent="0.25">
      <c r="A11" s="26" t="s">
        <v>12</v>
      </c>
      <c r="B11" s="57" t="s">
        <v>13</v>
      </c>
      <c r="C11" s="58"/>
      <c r="D11" s="27">
        <f>962.14*68.576/1290.832</f>
        <v>51.114097450326604</v>
      </c>
      <c r="E11" s="28">
        <f>965.76*66.662/1249.989</f>
        <v>51.504047731620041</v>
      </c>
      <c r="F11" s="29">
        <f>2077.1*1.447/27.264</f>
        <v>110.23927890258217</v>
      </c>
      <c r="G11" s="29">
        <f>2060.05*1.411/26.49</f>
        <v>109.72935258588149</v>
      </c>
      <c r="H11" s="30">
        <f>2080.96*0.293/5.515</f>
        <v>110.55689573889393</v>
      </c>
      <c r="I11" s="31">
        <f>2080.69*0.226/4.2363</f>
        <v>111.00156740551897</v>
      </c>
      <c r="J11" s="32"/>
    </row>
    <row r="12" spans="1:10" ht="25.5" customHeight="1" x14ac:dyDescent="0.25">
      <c r="A12" s="26" t="s">
        <v>14</v>
      </c>
      <c r="B12" s="59" t="s">
        <v>15</v>
      </c>
      <c r="C12" s="60"/>
      <c r="D12" s="27">
        <f t="shared" ref="D12:I12" si="0">D10-D11</f>
        <v>55.253014613830452</v>
      </c>
      <c r="E12" s="28">
        <f t="shared" si="0"/>
        <v>61.5918035118709</v>
      </c>
      <c r="F12" s="33">
        <f t="shared" si="0"/>
        <v>50.657361355633796</v>
      </c>
      <c r="G12" s="34">
        <f t="shared" si="0"/>
        <v>56.756377878444709</v>
      </c>
      <c r="H12" s="35">
        <f t="shared" si="0"/>
        <v>48.93449138712603</v>
      </c>
      <c r="I12" s="36">
        <f t="shared" si="0"/>
        <v>54.930023841559873</v>
      </c>
      <c r="J12" s="32"/>
    </row>
    <row r="13" spans="1:10" ht="35.25" customHeight="1" x14ac:dyDescent="0.25">
      <c r="A13" s="26" t="s">
        <v>16</v>
      </c>
      <c r="B13" s="57" t="s">
        <v>17</v>
      </c>
      <c r="C13" s="58"/>
      <c r="D13" s="37">
        <v>10.17</v>
      </c>
      <c r="E13" s="28">
        <v>13.7</v>
      </c>
      <c r="F13" s="38">
        <v>10.17</v>
      </c>
      <c r="G13" s="29">
        <v>13.7</v>
      </c>
      <c r="H13" s="30">
        <v>10.17</v>
      </c>
      <c r="I13" s="31">
        <v>13.7</v>
      </c>
      <c r="J13" s="32"/>
    </row>
    <row r="14" spans="1:10" ht="35.25" customHeight="1" x14ac:dyDescent="0.25">
      <c r="A14" s="26" t="s">
        <v>18</v>
      </c>
      <c r="B14" s="59" t="s">
        <v>19</v>
      </c>
      <c r="C14" s="60"/>
      <c r="D14" s="37">
        <f>6229.657/1290.832</f>
        <v>4.8260788390743334</v>
      </c>
      <c r="E14" s="28">
        <f>3182.47/1249.989</f>
        <v>2.5459984047859621</v>
      </c>
      <c r="F14" s="29">
        <f>133.477/27.264</f>
        <v>4.895723298122066</v>
      </c>
      <c r="G14" s="29">
        <f>68.339/26.49</f>
        <v>2.5798036995092488</v>
      </c>
      <c r="H14" s="30">
        <f>26.23/5.515</f>
        <v>4.7561196736174072</v>
      </c>
      <c r="I14" s="31">
        <f>10.878/4.2363</f>
        <v>2.5678068125486866</v>
      </c>
      <c r="J14" s="32"/>
    </row>
    <row r="15" spans="1:10" ht="25.5" customHeight="1" x14ac:dyDescent="0.25">
      <c r="A15" s="26" t="s">
        <v>20</v>
      </c>
      <c r="B15" s="59" t="s">
        <v>21</v>
      </c>
      <c r="C15" s="60"/>
      <c r="D15" s="37">
        <f>1303.687/1290.832</f>
        <v>1.0099586933078819</v>
      </c>
      <c r="E15" s="28">
        <f>700.143/1249.989</f>
        <v>0.56011932905009565</v>
      </c>
      <c r="F15" s="29">
        <f>27.933/27.264</f>
        <v>1.024537852112676</v>
      </c>
      <c r="G15" s="29">
        <f>15.035/26.49</f>
        <v>0.56757266893167235</v>
      </c>
      <c r="H15" s="30">
        <f>5.489/5.515</f>
        <v>0.99528558476881235</v>
      </c>
      <c r="I15" s="31">
        <f>2.393/4.2363</f>
        <v>0.56487972995302504</v>
      </c>
      <c r="J15" s="32"/>
    </row>
    <row r="16" spans="1:10" ht="35.25" customHeight="1" x14ac:dyDescent="0.25">
      <c r="A16" s="26" t="s">
        <v>22</v>
      </c>
      <c r="B16" s="59" t="s">
        <v>23</v>
      </c>
      <c r="C16" s="60"/>
      <c r="D16" s="37">
        <f>81.846/1290.832</f>
        <v>6.3405617462225908E-2</v>
      </c>
      <c r="E16" s="28">
        <f>96.609/1249.989</f>
        <v>7.7287880133345171E-2</v>
      </c>
      <c r="F16" s="29">
        <f>1.729/27.264</f>
        <v>6.3416960093896718E-2</v>
      </c>
      <c r="G16" s="29">
        <f>2.047/26.49</f>
        <v>7.7274443186107974E-2</v>
      </c>
      <c r="H16" s="30">
        <f>0.35/5.515</f>
        <v>6.346328195829555E-2</v>
      </c>
      <c r="I16" s="31">
        <f>0.327/4.2363</f>
        <v>7.7190000708165146E-2</v>
      </c>
      <c r="J16" s="32"/>
    </row>
    <row r="17" spans="1:10" ht="21" customHeight="1" x14ac:dyDescent="0.25">
      <c r="A17" s="26" t="s">
        <v>24</v>
      </c>
      <c r="B17" s="57" t="s">
        <v>25</v>
      </c>
      <c r="C17" s="58"/>
      <c r="D17" s="37">
        <f>(237.648+1281.321)/1290.832</f>
        <v>1.1767363994694893</v>
      </c>
      <c r="E17" s="28">
        <f>(124.162+633.449)/1249.989</f>
        <v>0.60609413362837594</v>
      </c>
      <c r="F17" s="29">
        <f>(5.019+27.063)/27.264</f>
        <v>1.1767165492957747</v>
      </c>
      <c r="G17" s="29">
        <f>(2.631+13.424)/26.49</f>
        <v>0.60607776519441303</v>
      </c>
      <c r="H17" s="30">
        <f>(1.015+5.475)/5.515</f>
        <v>1.1767905711695377</v>
      </c>
      <c r="I17" s="31">
        <f>(0.421+2.147)/4.2363</f>
        <v>0.60618936335953533</v>
      </c>
      <c r="J17" s="32"/>
    </row>
    <row r="18" spans="1:10" ht="24.75" customHeight="1" x14ac:dyDescent="0.25">
      <c r="A18" s="26" t="s">
        <v>26</v>
      </c>
      <c r="B18" s="57" t="s">
        <v>27</v>
      </c>
      <c r="C18" s="58"/>
      <c r="D18" s="37">
        <f t="shared" ref="D18:I18" si="1">D10+D13+D14+D15+D16+D17</f>
        <v>123.61329161347098</v>
      </c>
      <c r="E18" s="28">
        <f t="shared" si="1"/>
        <v>130.58535099108872</v>
      </c>
      <c r="F18" s="38">
        <f t="shared" si="1"/>
        <v>178.22703491784037</v>
      </c>
      <c r="G18" s="29">
        <f t="shared" si="1"/>
        <v>184.01645904114761</v>
      </c>
      <c r="H18" s="30">
        <f t="shared" si="1"/>
        <v>176.653046237534</v>
      </c>
      <c r="I18" s="31">
        <f t="shared" si="1"/>
        <v>183.44765715364824</v>
      </c>
      <c r="J18" s="32"/>
    </row>
    <row r="19" spans="1:10" ht="33.75" customHeight="1" x14ac:dyDescent="0.25">
      <c r="A19" s="26" t="s">
        <v>28</v>
      </c>
      <c r="B19" s="57" t="s">
        <v>29</v>
      </c>
      <c r="C19" s="58"/>
      <c r="D19" s="37">
        <f t="shared" ref="D19:I19" si="2">D20+D21+D22</f>
        <v>2.124621949254434</v>
      </c>
      <c r="E19" s="28">
        <f t="shared" si="2"/>
        <v>2.4021731391236241</v>
      </c>
      <c r="F19" s="38">
        <f t="shared" si="2"/>
        <v>3.4132922535211265</v>
      </c>
      <c r="G19" s="29">
        <f t="shared" si="2"/>
        <v>3.6135522838807099</v>
      </c>
      <c r="H19" s="35">
        <f t="shared" si="2"/>
        <v>3.4319129646418856</v>
      </c>
      <c r="I19" s="36">
        <f t="shared" si="2"/>
        <v>3.6635743455373797</v>
      </c>
      <c r="J19" s="32"/>
    </row>
    <row r="20" spans="1:10" ht="21.75" customHeight="1" x14ac:dyDescent="0.25">
      <c r="A20" s="26" t="s">
        <v>30</v>
      </c>
      <c r="B20" s="58" t="s">
        <v>31</v>
      </c>
      <c r="C20" s="63"/>
      <c r="D20" s="37">
        <f>493.655/1290.832</f>
        <v>0.38243164098813781</v>
      </c>
      <c r="E20" s="28">
        <f>540.484/1249.989</f>
        <v>0.43239100504084438</v>
      </c>
      <c r="F20" s="29">
        <f>16.751/27.264</f>
        <v>0.614399941314554</v>
      </c>
      <c r="G20" s="29">
        <f>17.23/26.49</f>
        <v>0.65043412608531526</v>
      </c>
      <c r="H20" s="30">
        <f>3.407/5.515</f>
        <v>0.61776971894832278</v>
      </c>
      <c r="I20" s="31">
        <f>2.794/4.2363</f>
        <v>0.65953780421594321</v>
      </c>
      <c r="J20" s="32"/>
    </row>
    <row r="21" spans="1:10" ht="22.5" customHeight="1" x14ac:dyDescent="0.25">
      <c r="A21" s="26" t="s">
        <v>32</v>
      </c>
      <c r="B21" s="57" t="s">
        <v>33</v>
      </c>
      <c r="C21" s="58"/>
      <c r="D21" s="37">
        <f>2248.875/1290.832</f>
        <v>1.7421903082662964</v>
      </c>
      <c r="E21" s="28">
        <f>2462.206/1249.989</f>
        <v>1.9697821340827799</v>
      </c>
      <c r="F21" s="29">
        <f>76.309/27.264</f>
        <v>2.7988923122065725</v>
      </c>
      <c r="G21" s="29">
        <f>78.493/26.49</f>
        <v>2.9631181577953947</v>
      </c>
      <c r="H21" s="30">
        <f>15.52/5.515</f>
        <v>2.8141432456935629</v>
      </c>
      <c r="I21" s="31">
        <f>12.726/4.2363</f>
        <v>3.0040365413214363</v>
      </c>
      <c r="J21" s="32"/>
    </row>
    <row r="22" spans="1:10" ht="20.25" customHeight="1" x14ac:dyDescent="0.25">
      <c r="A22" s="26" t="s">
        <v>34</v>
      </c>
      <c r="B22" s="59" t="s">
        <v>35</v>
      </c>
      <c r="C22" s="60"/>
      <c r="D22" s="37">
        <v>0</v>
      </c>
      <c r="E22" s="28">
        <v>0</v>
      </c>
      <c r="F22" s="29">
        <v>0</v>
      </c>
      <c r="G22" s="29">
        <v>0</v>
      </c>
      <c r="H22" s="30">
        <v>0</v>
      </c>
      <c r="I22" s="31">
        <v>0</v>
      </c>
      <c r="J22" s="32"/>
    </row>
    <row r="23" spans="1:10" ht="33" customHeight="1" x14ac:dyDescent="0.25">
      <c r="A23" s="26" t="s">
        <v>36</v>
      </c>
      <c r="B23" s="57" t="s">
        <v>37</v>
      </c>
      <c r="C23" s="58"/>
      <c r="D23" s="37">
        <f t="shared" ref="D23:I23" si="3">D18+D19</f>
        <v>125.73791356272541</v>
      </c>
      <c r="E23" s="28">
        <f t="shared" si="3"/>
        <v>132.98752413021234</v>
      </c>
      <c r="F23" s="33">
        <f t="shared" si="3"/>
        <v>181.64032717136149</v>
      </c>
      <c r="G23" s="34">
        <f t="shared" si="3"/>
        <v>187.63001132502833</v>
      </c>
      <c r="H23" s="35">
        <f t="shared" si="3"/>
        <v>180.0849592021759</v>
      </c>
      <c r="I23" s="36">
        <f t="shared" si="3"/>
        <v>187.11123149918561</v>
      </c>
      <c r="J23" s="32"/>
    </row>
    <row r="24" spans="1:10" ht="28.5" customHeight="1" thickBot="1" x14ac:dyDescent="0.3">
      <c r="A24" s="26" t="s">
        <v>38</v>
      </c>
      <c r="B24" s="61" t="s">
        <v>39</v>
      </c>
      <c r="C24" s="62"/>
      <c r="D24" s="39">
        <f t="shared" ref="D24:I24" si="4">D23*1.2</f>
        <v>150.8854962752705</v>
      </c>
      <c r="E24" s="40">
        <f t="shared" si="4"/>
        <v>159.5850289562548</v>
      </c>
      <c r="F24" s="41">
        <f t="shared" si="4"/>
        <v>217.9683926056338</v>
      </c>
      <c r="G24" s="42">
        <f t="shared" si="4"/>
        <v>225.15601359003401</v>
      </c>
      <c r="H24" s="43">
        <f t="shared" si="4"/>
        <v>216.10195104261106</v>
      </c>
      <c r="I24" s="44">
        <f t="shared" si="4"/>
        <v>224.53347779902273</v>
      </c>
      <c r="J24" s="32"/>
    </row>
    <row r="25" spans="1:10" ht="24" hidden="1" customHeight="1" x14ac:dyDescent="0.25">
      <c r="A25" s="26" t="s">
        <v>40</v>
      </c>
      <c r="B25" s="57" t="s">
        <v>41</v>
      </c>
      <c r="C25" s="58"/>
      <c r="D25" s="45">
        <v>52.651442453492855</v>
      </c>
      <c r="E25" s="46">
        <v>77.249702370549059</v>
      </c>
      <c r="F25" s="47">
        <v>54.018445012184301</v>
      </c>
      <c r="G25" s="48">
        <v>79.255355698887996</v>
      </c>
      <c r="H25" s="49">
        <v>54.522040711745341</v>
      </c>
      <c r="I25" s="50">
        <v>79.994226584344602</v>
      </c>
      <c r="J25" s="32"/>
    </row>
    <row r="26" spans="1:10" ht="24" hidden="1" customHeight="1" x14ac:dyDescent="0.25">
      <c r="A26" s="26" t="s">
        <v>42</v>
      </c>
      <c r="B26" s="57" t="s">
        <v>43</v>
      </c>
      <c r="C26" s="58"/>
      <c r="D26" s="51">
        <v>65.066942509196707</v>
      </c>
      <c r="E26" s="52">
        <v>67.614297629450945</v>
      </c>
      <c r="F26" s="53">
        <v>63.651877039522674</v>
      </c>
      <c r="G26" s="54">
        <v>66.064644301111997</v>
      </c>
      <c r="H26" s="55">
        <v>63.292380647279479</v>
      </c>
      <c r="I26" s="56">
        <v>65.685773415655405</v>
      </c>
      <c r="J26" s="32"/>
    </row>
  </sheetData>
  <mergeCells count="26">
    <mergeCell ref="B14:C14"/>
    <mergeCell ref="G2:I2"/>
    <mergeCell ref="A3:I3"/>
    <mergeCell ref="A5:A8"/>
    <mergeCell ref="B5:C8"/>
    <mergeCell ref="D5:I5"/>
    <mergeCell ref="D6:E6"/>
    <mergeCell ref="F6:G6"/>
    <mergeCell ref="H6:I6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</mergeCells>
  <printOptions horizontalCentered="1"/>
  <pageMargins left="0.31496062992125984" right="0.31496062992125984" top="0.94488188976377963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ГВП заг 1 куб.м</vt:lpstr>
      <vt:lpstr>'ГВП заг 1 куб.м'!Заголовки_для_печати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2024-08-14T11:48:08Z</dcterms:created>
  <dcterms:modified xsi:type="dcterms:W3CDTF">2024-08-14T11:49:52Z</dcterms:modified>
</cp:coreProperties>
</file>